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/>
  <bookViews>
    <workbookView xWindow="360" yWindow="1095" windowWidth="19335" windowHeight="6795"/>
  </bookViews>
  <sheets>
    <sheet name="Смета" sheetId="1" r:id="rId1"/>
  </sheets>
  <definedNames>
    <definedName name="_xlnm.Print_Titles" localSheetId="0">Смета!$1:$1</definedName>
  </definedNames>
  <calcPr calcId="124519"/>
</workbook>
</file>

<file path=xl/calcChain.xml><?xml version="1.0" encoding="utf-8"?>
<calcChain xmlns="http://schemas.openxmlformats.org/spreadsheetml/2006/main">
  <c r="M69" i="1"/>
  <c r="L69"/>
  <c r="K69"/>
  <c r="J69"/>
  <c r="I69"/>
  <c r="H69"/>
  <c r="N69" s="1"/>
  <c r="M66"/>
  <c r="L66"/>
  <c r="K66"/>
  <c r="J66"/>
  <c r="N66" s="1"/>
  <c r="I66"/>
  <c r="H66"/>
  <c r="M63"/>
  <c r="L63"/>
  <c r="K63"/>
  <c r="J63"/>
  <c r="N63" s="1"/>
  <c r="I63"/>
  <c r="H63"/>
  <c r="M60"/>
  <c r="L60"/>
  <c r="K60"/>
  <c r="J60"/>
  <c r="I60"/>
  <c r="H60"/>
  <c r="N60" s="1"/>
  <c r="M58"/>
  <c r="L58"/>
  <c r="K58"/>
  <c r="J58"/>
  <c r="I58"/>
  <c r="H58"/>
  <c r="N58" s="1"/>
  <c r="M57"/>
  <c r="L57"/>
  <c r="K57"/>
  <c r="J57"/>
  <c r="N57" s="1"/>
  <c r="I57"/>
  <c r="H57"/>
  <c r="M54"/>
  <c r="L54"/>
  <c r="K54"/>
  <c r="J54"/>
  <c r="N54" s="1"/>
  <c r="I54"/>
  <c r="H54"/>
  <c r="M51"/>
  <c r="L51"/>
  <c r="K51"/>
  <c r="J51"/>
  <c r="I51"/>
  <c r="H51"/>
  <c r="N51" s="1"/>
  <c r="M49"/>
  <c r="L49"/>
  <c r="K49"/>
  <c r="J49"/>
  <c r="I49"/>
  <c r="H49"/>
  <c r="N49" s="1"/>
  <c r="M47"/>
  <c r="L47"/>
  <c r="K47"/>
  <c r="J47"/>
  <c r="N47" s="1"/>
  <c r="I47"/>
  <c r="H47"/>
  <c r="M45"/>
  <c r="L45"/>
  <c r="K45"/>
  <c r="J45"/>
  <c r="N45" s="1"/>
  <c r="I45"/>
  <c r="H45"/>
  <c r="M41"/>
  <c r="L41"/>
  <c r="K41"/>
  <c r="J41"/>
  <c r="I41"/>
  <c r="H41"/>
  <c r="N41" s="1"/>
  <c r="M37"/>
  <c r="L37"/>
  <c r="K37"/>
  <c r="J37"/>
  <c r="I37"/>
  <c r="H37"/>
  <c r="N37" s="1"/>
  <c r="M34"/>
  <c r="L34"/>
  <c r="K34"/>
  <c r="J34"/>
  <c r="N34" s="1"/>
  <c r="I34"/>
  <c r="H34"/>
  <c r="M32"/>
  <c r="L32"/>
  <c r="K32"/>
  <c r="J32"/>
  <c r="N32" s="1"/>
  <c r="I32"/>
  <c r="H32"/>
  <c r="M31"/>
  <c r="L31"/>
  <c r="K31"/>
  <c r="J31"/>
  <c r="I31"/>
  <c r="H31"/>
  <c r="N31" s="1"/>
  <c r="M28"/>
  <c r="L28"/>
  <c r="K28"/>
  <c r="J28"/>
  <c r="I28"/>
  <c r="H28"/>
  <c r="N28" s="1"/>
  <c r="M26"/>
  <c r="L26"/>
  <c r="K26"/>
  <c r="J26"/>
  <c r="N26" s="1"/>
  <c r="I26"/>
  <c r="H26"/>
  <c r="M22"/>
  <c r="L22"/>
  <c r="K22"/>
  <c r="J22"/>
  <c r="N22" s="1"/>
  <c r="I22"/>
  <c r="H22"/>
  <c r="M20"/>
  <c r="L20"/>
  <c r="K20"/>
  <c r="J20"/>
  <c r="I20"/>
  <c r="H20"/>
  <c r="N20" s="1"/>
  <c r="M17"/>
  <c r="L17"/>
  <c r="K17"/>
  <c r="J17"/>
  <c r="I17"/>
  <c r="H17"/>
  <c r="N17" s="1"/>
  <c r="M16"/>
  <c r="L16"/>
  <c r="K16"/>
  <c r="J16"/>
  <c r="N16" s="1"/>
  <c r="I16"/>
  <c r="H16"/>
  <c r="M15"/>
  <c r="L15"/>
  <c r="K15"/>
  <c r="J15"/>
  <c r="N15" s="1"/>
  <c r="I15"/>
  <c r="H15"/>
  <c r="M13"/>
  <c r="M70" s="1"/>
  <c r="L13"/>
  <c r="K13"/>
  <c r="J13"/>
  <c r="I13"/>
  <c r="I70" s="1"/>
  <c r="H13"/>
  <c r="N13" s="1"/>
  <c r="M11"/>
  <c r="L11"/>
  <c r="L70" s="1"/>
  <c r="K11"/>
  <c r="J11"/>
  <c r="I11"/>
  <c r="H11"/>
  <c r="N11" s="1"/>
  <c r="M10"/>
  <c r="L10"/>
  <c r="K10"/>
  <c r="J10"/>
  <c r="N10" s="1"/>
  <c r="I10"/>
  <c r="H10"/>
  <c r="M6"/>
  <c r="L6"/>
  <c r="K6"/>
  <c r="K70" s="1"/>
  <c r="J6"/>
  <c r="J70" s="1"/>
  <c r="I6"/>
  <c r="H6"/>
  <c r="N6" l="1"/>
  <c r="N70" s="1"/>
  <c r="H70"/>
</calcChain>
</file>

<file path=xl/sharedStrings.xml><?xml version="1.0" encoding="utf-8"?>
<sst xmlns="http://schemas.openxmlformats.org/spreadsheetml/2006/main" count="179" uniqueCount="169">
  <si>
    <t/>
  </si>
  <si>
    <t>№ ПП</t>
  </si>
  <si>
    <t>КОД</t>
  </si>
  <si>
    <t>НАЗВАНИЕ РАБОТЫ</t>
  </si>
  <si>
    <t>ИЗМЕРИТЕЛЬ</t>
  </si>
  <si>
    <t>КОЛ-ВО ЕД. ИЗМ.</t>
  </si>
  <si>
    <t>ПЕРИОДИЧ- НОСТЬ В ГОД</t>
  </si>
  <si>
    <t>ТРУД. РЕСУРСЫ, РУБ.</t>
  </si>
  <si>
    <t>МАТЕР. РЕСУРСЫ, РУБ.</t>
  </si>
  <si>
    <t>МАШ. МЕХ., РУБ.</t>
  </si>
  <si>
    <t>НАКЛ. РАСХОДЫ, РУБ.</t>
  </si>
  <si>
    <t>ПРИБЫЛЬ, РУБ.</t>
  </si>
  <si>
    <t>РАСХОДЫ НА УПРАВ., РУБ.</t>
  </si>
  <si>
    <t>СТОИМОСТЬ, РУБ.</t>
  </si>
  <si>
    <t>Болдина 114а</t>
  </si>
  <si>
    <t>Дата изменения:</t>
  </si>
  <si>
    <t>21.03.2022</t>
  </si>
  <si>
    <t>Общая площадь, кв.м:</t>
  </si>
  <si>
    <t>1.1</t>
  </si>
  <si>
    <t>Фундаменты</t>
  </si>
  <si>
    <t>1.1.7</t>
  </si>
  <si>
    <t>Восстановление (ремонт)  освещения и  вентиляции  подвала</t>
  </si>
  <si>
    <t>1.1.7.3</t>
  </si>
  <si>
    <t>Замена ламп накаливания</t>
  </si>
  <si>
    <t>100 шт.</t>
  </si>
  <si>
    <t>1.2</t>
  </si>
  <si>
    <t>Кирпичные, каменные и железобетонные стены</t>
  </si>
  <si>
    <t>1.2.17</t>
  </si>
  <si>
    <t>Окраска стен  помещений  общего  пользования</t>
  </si>
  <si>
    <t>1.2.17.1</t>
  </si>
  <si>
    <t>Клеевая окраска стен</t>
  </si>
  <si>
    <t>1.2.17.1.1</t>
  </si>
  <si>
    <t>Простая клеевая окраска стен</t>
  </si>
  <si>
    <t>100 м2 окрашенной поверхности</t>
  </si>
  <si>
    <t>1.2.17.2</t>
  </si>
  <si>
    <t>Известковая окраска ранее окрашенных поверхностей стен</t>
  </si>
  <si>
    <t>1.2.17.3</t>
  </si>
  <si>
    <t>Масляная окраска ранее окрашенных поверхностей</t>
  </si>
  <si>
    <t>1.2.17.3.1</t>
  </si>
  <si>
    <t>Простая масляная окраска ранее окрашенных поверхностей</t>
  </si>
  <si>
    <t>1.2.18</t>
  </si>
  <si>
    <t>Внутренняя отделка зданий</t>
  </si>
  <si>
    <t>1.2.18.1</t>
  </si>
  <si>
    <t>Ремонт внутренней штукатурки потолков отдельными местами</t>
  </si>
  <si>
    <t>100 кв. м</t>
  </si>
  <si>
    <t>1.2.18.6</t>
  </si>
  <si>
    <t>Известковая окраска ранее окрашенных поверхностей потолков</t>
  </si>
  <si>
    <t>100 кв.м</t>
  </si>
  <si>
    <t>1.2.18.12</t>
  </si>
  <si>
    <t>Перетирка штукатурки поверхностей стен и перегородок</t>
  </si>
  <si>
    <t>100 м2 поверхности</t>
  </si>
  <si>
    <t>1.7</t>
  </si>
  <si>
    <t>Перегородки</t>
  </si>
  <si>
    <t>1.7.5</t>
  </si>
  <si>
    <t>Восстановление  облицовки  перегородок</t>
  </si>
  <si>
    <t>1.7.5.6</t>
  </si>
  <si>
    <t>Восстановление (ремонт) штукатурки кирпичных, железобетонных и гипсокартонных перегородок известковым раствором площадью отдельных мест до 10 кв.м.</t>
  </si>
  <si>
    <t>100 кв.м.</t>
  </si>
  <si>
    <t>1.7.6</t>
  </si>
  <si>
    <t>Окраска  перегородок</t>
  </si>
  <si>
    <t>1.7.6.3</t>
  </si>
  <si>
    <t>Простая масляная окраска перегородок с расчисткой старой краски 10-35  %</t>
  </si>
  <si>
    <t>1.8</t>
  </si>
  <si>
    <t>Крыши и кровли</t>
  </si>
  <si>
    <t>1.8.1</t>
  </si>
  <si>
    <t>Устранение протечек кровли</t>
  </si>
  <si>
    <t>1.8.1.1</t>
  </si>
  <si>
    <t>Устранение  протечек кровли из штучных материалов</t>
  </si>
  <si>
    <t>1.8.1.1.1</t>
  </si>
  <si>
    <t>Смена поврежденных листов асбоцементных кровель</t>
  </si>
  <si>
    <t>100 м2 сменяемого покрытия</t>
  </si>
  <si>
    <t>1.8.11</t>
  </si>
  <si>
    <t>Восстановление (ремонт) систем водоотвода</t>
  </si>
  <si>
    <t>1.8.11.1</t>
  </si>
  <si>
    <t>Ремонт водосточных труб с земли и подмостей</t>
  </si>
  <si>
    <t>100 м трубы</t>
  </si>
  <si>
    <t>1.9</t>
  </si>
  <si>
    <t>Оконные и дверные проемы</t>
  </si>
  <si>
    <t>1.9.1</t>
  </si>
  <si>
    <t>Восстановление (ремонт) дверей в помещениях  общего  пользования</t>
  </si>
  <si>
    <t>1.9.1.19</t>
  </si>
  <si>
    <t>Смена замков накладных</t>
  </si>
  <si>
    <t>100 замков</t>
  </si>
  <si>
    <t>1.9.1.22</t>
  </si>
  <si>
    <t>Простая масляная окраска дверей</t>
  </si>
  <si>
    <t>1.9.2</t>
  </si>
  <si>
    <t>Восстановление (ремонт)  окон в  помещениях общего  пользования</t>
  </si>
  <si>
    <t>1.9.2.25</t>
  </si>
  <si>
    <t>Простая масляная окраска оконных рам</t>
  </si>
  <si>
    <t>1.10</t>
  </si>
  <si>
    <t>Лестницы</t>
  </si>
  <si>
    <t>1.10.5</t>
  </si>
  <si>
    <t>Окраска  металлических  элементов  лестниц</t>
  </si>
  <si>
    <t>1.10.5.1</t>
  </si>
  <si>
    <t>Окраска масляными составами ранее окрашенных металлических решеток  без рельефа за 1 раз</t>
  </si>
  <si>
    <t xml:space="preserve"> 100 м2 окрашиваемой поверхности</t>
  </si>
  <si>
    <t>2.1</t>
  </si>
  <si>
    <t>Система теплоснабжения</t>
  </si>
  <si>
    <t>2.1.2</t>
  </si>
  <si>
    <t>Ремонт,  модернизация внутридомовых отопительных сетей</t>
  </si>
  <si>
    <t>2.1.2.1</t>
  </si>
  <si>
    <t>Смена отдельных участков трубопроводов из стальных водогазопроводных неоцинкованных труб на резьбе</t>
  </si>
  <si>
    <t>2.1.2.1.2</t>
  </si>
  <si>
    <t>Смена отдельных участков трубопроводов из стальных водогазопроводных неоцинкованных труб диаметром 20 мм</t>
  </si>
  <si>
    <t>100 м трубопровода</t>
  </si>
  <si>
    <t>2.2</t>
  </si>
  <si>
    <t>Системы холодного и горячего водоснабжения</t>
  </si>
  <si>
    <t>2.2.1</t>
  </si>
  <si>
    <t>Ремонт,  замена  внутридомовых сетей водоснабжения</t>
  </si>
  <si>
    <t>2.2.1.8</t>
  </si>
  <si>
    <t>Уплотнение сгонов</t>
  </si>
  <si>
    <t>2.2.1.8.1</t>
  </si>
  <si>
    <t>Уплотнение сгонов с применением льняной пряди или асбестового шнура (без разборки сгонов) диаметром до 20 мм</t>
  </si>
  <si>
    <t>1 сгон</t>
  </si>
  <si>
    <t>2.2.6</t>
  </si>
  <si>
    <t>Ремонт оборудования, приборов и арматуры водопроводной сети общего пользования</t>
  </si>
  <si>
    <t>2.2.6.1</t>
  </si>
  <si>
    <t>Смена вентилей и клапанов обратных муфтовых диаметром до 20 мм</t>
  </si>
  <si>
    <t>2.3</t>
  </si>
  <si>
    <t>Система водоотведения</t>
  </si>
  <si>
    <t>2.3.4</t>
  </si>
  <si>
    <t>Устранение засоров внутренних канализационных трубопроводов</t>
  </si>
  <si>
    <t>2.5</t>
  </si>
  <si>
    <t>Внутридомовое электро-, радио- и телеоборудование</t>
  </si>
  <si>
    <t>2.5.4</t>
  </si>
  <si>
    <t>Ремонт, замена  внутридомовых электрических сетей</t>
  </si>
  <si>
    <t>1000 пог.м.</t>
  </si>
  <si>
    <t>2.6</t>
  </si>
  <si>
    <t>Подготовка многоквартирного дома к сезонной эксплуатации, проведение технических осмотров</t>
  </si>
  <si>
    <t>2.6.9</t>
  </si>
  <si>
    <t>Осмотр всех элементов кровли, водостоков</t>
  </si>
  <si>
    <t>2.6.9.1</t>
  </si>
  <si>
    <t>Осмотр всех элементов стальных кровель, водостоков</t>
  </si>
  <si>
    <t>1000 кв.м. кровли</t>
  </si>
  <si>
    <t>2.6.14</t>
  </si>
  <si>
    <t>Проведение технических осмотров и устранение незначительных неисправностей в  системе   теплоснабжения</t>
  </si>
  <si>
    <t>2.6.14.3</t>
  </si>
  <si>
    <t>Гидравлическое испытание трубопроводов систем центрального отопления (расконсервация)</t>
  </si>
  <si>
    <t>2.6.14.3.2</t>
  </si>
  <si>
    <t>Рабочая проверка системы в целом при диаметре трубопровода до 50 мм</t>
  </si>
  <si>
    <t>2.6.14.3.3</t>
  </si>
  <si>
    <t>Окончательная проверка при сдаче системы при диаметре трубопровода до 50 мм</t>
  </si>
  <si>
    <t>2.6.14.4</t>
  </si>
  <si>
    <t>Промывка трубопроводов системы центрального отопления</t>
  </si>
  <si>
    <t>2.6.14.4.1</t>
  </si>
  <si>
    <t>Промывка трубопроводов системы центрального отопления до 50 мм</t>
  </si>
  <si>
    <t>10 м трубопровода (100 м3 здания)</t>
  </si>
  <si>
    <t>2.6.14.5</t>
  </si>
  <si>
    <t>Устранение незначительных неисправностей в  системе   теплоснабжения</t>
  </si>
  <si>
    <t>2.6.14.5.5</t>
  </si>
  <si>
    <t>Ликвидация воздушных пробок в системе отопления</t>
  </si>
  <si>
    <t>2.6.14.5.5.1</t>
  </si>
  <si>
    <t>Ликвидация воздушных пробок в стояке системы отопления</t>
  </si>
  <si>
    <t>100 стояков</t>
  </si>
  <si>
    <t>3.2</t>
  </si>
  <si>
    <t>Уборка земельного участка, входящего в состав общего имущества многоквартирного дома</t>
  </si>
  <si>
    <t>3.2.5</t>
  </si>
  <si>
    <t>Очистка и текущий ремонт детских и спортивных  площадок, элементов  благоустройства</t>
  </si>
  <si>
    <t>3.2.5.4</t>
  </si>
  <si>
    <t>Заполнение песочницы песком</t>
  </si>
  <si>
    <t>песочница</t>
  </si>
  <si>
    <t>3.3</t>
  </si>
  <si>
    <t>Ремонт и установка объектов благоустройства придомовой территории</t>
  </si>
  <si>
    <t>3.3.1</t>
  </si>
  <si>
    <t>Ремонт  объектов  внешнего  благоустройства</t>
  </si>
  <si>
    <t>3.3.1.2</t>
  </si>
  <si>
    <t>Покраска ограждений газона</t>
  </si>
  <si>
    <t>пог.м.</t>
  </si>
  <si>
    <t>ИТОГО:</t>
  </si>
</sst>
</file>

<file path=xl/styles.xml><?xml version="1.0" encoding="utf-8"?>
<styleSheet xmlns="http://schemas.openxmlformats.org/spreadsheetml/2006/main">
  <numFmts count="1">
    <numFmt numFmtId="164" formatCode="#\ ###\ ##0.00"/>
  </numFmts>
  <fonts count="11">
    <font>
      <sz val="11"/>
      <color theme="1"/>
      <name val="Calibri"/>
      <family val="2"/>
      <scheme val="minor"/>
    </font>
    <font>
      <sz val="9"/>
      <name val="Calibri"/>
      <family val="2"/>
      <charset val="204"/>
    </font>
    <font>
      <sz val="10"/>
      <name val="Calibri"/>
      <family val="2"/>
      <charset val="204"/>
    </font>
    <font>
      <sz val="12"/>
      <name val="Calibri"/>
      <family val="2"/>
      <charset val="204"/>
    </font>
    <font>
      <b/>
      <sz val="9"/>
      <color rgb="FFFFFFFF"/>
      <name val="Calibri"/>
      <family val="2"/>
      <charset val="204"/>
    </font>
    <font>
      <b/>
      <sz val="18"/>
      <color rgb="FF000099"/>
      <name val="Calibri"/>
      <family val="2"/>
      <charset val="204"/>
    </font>
    <font>
      <i/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0"/>
      <color rgb="FF707070"/>
      <name val="Calibri"/>
      <family val="2"/>
      <charset val="204"/>
    </font>
    <font>
      <b/>
      <sz val="11"/>
      <color rgb="FFFFFFFF"/>
      <name val="Calibri"/>
      <family val="2"/>
      <charset val="204"/>
    </font>
    <font>
      <b/>
      <sz val="10"/>
      <color rgb="FFFFFFFF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546E7A"/>
      </patternFill>
    </fill>
    <fill>
      <patternFill patternType="solid">
        <fgColor rgb="FFDCE6F1"/>
      </patternFill>
    </fill>
    <fill>
      <patternFill patternType="solid">
        <fgColor rgb="FFF2F2F2"/>
      </patternFill>
    </fill>
    <fill>
      <patternFill patternType="solid">
        <fgColor rgb="FFF9F7ED"/>
      </patternFill>
    </fill>
    <fill>
      <patternFill patternType="solid">
        <fgColor rgb="FFF5F2E0"/>
      </patternFill>
    </fill>
    <fill>
      <patternFill patternType="solid">
        <fgColor rgb="FFEBF1DE"/>
      </patternFill>
    </fill>
  </fills>
  <borders count="12">
    <border>
      <left/>
      <right/>
      <top/>
      <bottom/>
      <diagonal/>
    </border>
    <border>
      <left style="thick">
        <color rgb="FF000000"/>
      </left>
      <right style="thin">
        <color rgb="FFFFFFFF"/>
      </right>
      <top style="thick">
        <color rgb="FF000000"/>
      </top>
      <bottom style="thick">
        <color rgb="FF000000"/>
      </bottom>
      <diagonal/>
    </border>
    <border>
      <left style="thin">
        <color rgb="FFFFFFFF"/>
      </left>
      <right style="thin">
        <color rgb="FFFFFFFF"/>
      </right>
      <top style="thick">
        <color rgb="FF000000"/>
      </top>
      <bottom style="thick">
        <color rgb="FF000000"/>
      </bottom>
      <diagonal/>
    </border>
    <border>
      <left style="thin">
        <color rgb="FFFFFFFF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horizontal="center" vertical="top" wrapText="1" indent="1"/>
    </xf>
    <xf numFmtId="49" fontId="2" fillId="0" borderId="0" xfId="0" applyNumberFormat="1" applyFont="1" applyAlignment="1">
      <alignment horizontal="left" vertical="top" wrapText="1" inden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right" vertical="top" indent="1"/>
    </xf>
    <xf numFmtId="164" fontId="2" fillId="0" borderId="0" xfId="0" applyNumberFormat="1" applyFont="1" applyAlignment="1">
      <alignment horizontal="right" vertical="top" indent="1"/>
    </xf>
    <xf numFmtId="0" fontId="4" fillId="0" borderId="0" xfId="0" applyFont="1" applyAlignment="1">
      <alignment horizontal="center" vertical="center" wrapText="1" indent="1"/>
    </xf>
    <xf numFmtId="0" fontId="4" fillId="2" borderId="1" xfId="0" applyFont="1" applyFill="1" applyBorder="1" applyAlignment="1">
      <alignment horizontal="center" vertical="center" wrapText="1" indent="1"/>
    </xf>
    <xf numFmtId="49" fontId="4" fillId="2" borderId="2" xfId="0" applyNumberFormat="1" applyFont="1" applyFill="1" applyBorder="1" applyAlignment="1">
      <alignment horizontal="center" vertical="center" wrapText="1" indent="1"/>
    </xf>
    <xf numFmtId="0" fontId="4" fillId="2" borderId="2" xfId="0" applyFont="1" applyFill="1" applyBorder="1" applyAlignment="1">
      <alignment horizontal="center" vertical="center" wrapText="1" indent="1"/>
    </xf>
    <xf numFmtId="164" fontId="4" fillId="2" borderId="2" xfId="0" applyNumberFormat="1" applyFont="1" applyFill="1" applyBorder="1" applyAlignment="1">
      <alignment horizontal="center" vertical="center" wrapText="1" indent="1"/>
    </xf>
    <xf numFmtId="164" fontId="4" fillId="2" borderId="3" xfId="0" applyNumberFormat="1" applyFont="1" applyFill="1" applyBorder="1" applyAlignment="1">
      <alignment horizontal="center" vertical="center" wrapText="1" indent="1"/>
    </xf>
    <xf numFmtId="0" fontId="6" fillId="0" borderId="6" xfId="0" applyFont="1" applyBorder="1" applyAlignment="1">
      <alignment horizontal="left" indent="1"/>
    </xf>
    <xf numFmtId="164" fontId="6" fillId="0" borderId="8" xfId="0" applyNumberFormat="1" applyFont="1" applyBorder="1" applyAlignment="1">
      <alignment horizontal="left" indent="1"/>
    </xf>
    <xf numFmtId="0" fontId="7" fillId="0" borderId="0" xfId="0" applyFont="1"/>
    <xf numFmtId="0" fontId="7" fillId="3" borderId="9" xfId="0" applyFont="1" applyFill="1" applyBorder="1" applyAlignment="1">
      <alignment horizontal="center" vertical="top" wrapText="1" indent="1"/>
    </xf>
    <xf numFmtId="49" fontId="7" fillId="3" borderId="10" xfId="0" applyNumberFormat="1" applyFont="1" applyFill="1" applyBorder="1" applyAlignment="1">
      <alignment horizontal="left" vertical="top" wrapText="1" indent="1"/>
    </xf>
    <xf numFmtId="0" fontId="8" fillId="0" borderId="0" xfId="0" applyFont="1"/>
    <xf numFmtId="0" fontId="8" fillId="4" borderId="9" xfId="0" applyFont="1" applyFill="1" applyBorder="1" applyAlignment="1">
      <alignment horizontal="center" vertical="top" wrapText="1" indent="1"/>
    </xf>
    <xf numFmtId="49" fontId="8" fillId="4" borderId="10" xfId="0" applyNumberFormat="1" applyFont="1" applyFill="1" applyBorder="1" applyAlignment="1">
      <alignment horizontal="left" vertical="top" wrapText="1" indent="1"/>
    </xf>
    <xf numFmtId="0" fontId="1" fillId="0" borderId="9" xfId="0" applyFont="1" applyBorder="1" applyAlignment="1">
      <alignment horizontal="center" vertical="top" wrapText="1" indent="1"/>
    </xf>
    <xf numFmtId="49" fontId="2" fillId="0" borderId="10" xfId="0" applyNumberFormat="1" applyFont="1" applyBorder="1" applyAlignment="1">
      <alignment horizontal="left" vertical="top" wrapText="1" indent="1"/>
    </xf>
    <xf numFmtId="0" fontId="2" fillId="0" borderId="10" xfId="0" applyFont="1" applyBorder="1" applyAlignment="1">
      <alignment horizontal="left" vertical="top" wrapText="1"/>
    </xf>
    <xf numFmtId="0" fontId="3" fillId="5" borderId="10" xfId="0" applyFont="1" applyFill="1" applyBorder="1" applyAlignment="1">
      <alignment horizontal="right" vertical="top" indent="1"/>
    </xf>
    <xf numFmtId="0" fontId="3" fillId="6" borderId="10" xfId="0" applyFont="1" applyFill="1" applyBorder="1" applyAlignment="1">
      <alignment horizontal="right" vertical="top" indent="1"/>
    </xf>
    <xf numFmtId="164" fontId="2" fillId="0" borderId="10" xfId="0" applyNumberFormat="1" applyFont="1" applyBorder="1" applyAlignment="1">
      <alignment horizontal="right" vertical="top" indent="1"/>
    </xf>
    <xf numFmtId="164" fontId="2" fillId="7" borderId="11" xfId="0" applyNumberFormat="1" applyFont="1" applyFill="1" applyBorder="1" applyAlignment="1">
      <alignment horizontal="right" vertical="top" indent="1"/>
    </xf>
    <xf numFmtId="0" fontId="9" fillId="0" borderId="0" xfId="0" applyFont="1" applyAlignment="1">
      <alignment horizontal="right" vertical="center" wrapText="1" indent="1"/>
    </xf>
    <xf numFmtId="164" fontId="9" fillId="2" borderId="2" xfId="0" applyNumberFormat="1" applyFont="1" applyFill="1" applyBorder="1" applyAlignment="1">
      <alignment horizontal="right" vertical="center" wrapText="1" indent="1"/>
    </xf>
    <xf numFmtId="164" fontId="9" fillId="2" borderId="3" xfId="0" applyNumberFormat="1" applyFont="1" applyFill="1" applyBorder="1" applyAlignment="1">
      <alignment horizontal="right" vertical="center" wrapText="1" indent="1"/>
    </xf>
    <xf numFmtId="0" fontId="5" fillId="0" borderId="4" xfId="0" applyFont="1" applyBorder="1" applyAlignment="1">
      <alignment horizontal="left" vertical="center" indent="1"/>
    </xf>
    <xf numFmtId="164" fontId="6" fillId="0" borderId="5" xfId="0" applyNumberFormat="1" applyFont="1" applyBorder="1" applyAlignment="1">
      <alignment horizontal="right" indent="1"/>
    </xf>
    <xf numFmtId="164" fontId="6" fillId="0" borderId="7" xfId="0" applyNumberFormat="1" applyFont="1" applyBorder="1" applyAlignment="1">
      <alignment horizontal="right" indent="1"/>
    </xf>
    <xf numFmtId="0" fontId="7" fillId="3" borderId="11" xfId="0" applyFont="1" applyFill="1" applyBorder="1" applyAlignment="1">
      <alignment horizontal="left" vertical="top" wrapText="1"/>
    </xf>
    <xf numFmtId="0" fontId="8" fillId="4" borderId="11" xfId="0" applyFont="1" applyFill="1" applyBorder="1" applyAlignment="1">
      <alignment indent="1"/>
    </xf>
    <xf numFmtId="0" fontId="8" fillId="4" borderId="11" xfId="0" applyFont="1" applyFill="1" applyBorder="1" applyAlignment="1">
      <alignment indent="2"/>
    </xf>
    <xf numFmtId="0" fontId="8" fillId="4" borderId="11" xfId="0" applyFont="1" applyFill="1" applyBorder="1" applyAlignment="1">
      <alignment indent="3"/>
    </xf>
    <xf numFmtId="0" fontId="10" fillId="2" borderId="1" xfId="0" applyFont="1" applyFill="1" applyBorder="1" applyAlignment="1">
      <alignment horizontal="right" vertical="center" wrapText="1" inden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70"/>
  <sheetViews>
    <sheetView tabSelected="1" workbookViewId="0">
      <pane ySplit="1" topLeftCell="A2" activePane="bottomLeft" state="frozen"/>
      <selection pane="bottomLeft" activeCell="G20" sqref="G20"/>
    </sheetView>
  </sheetViews>
  <sheetFormatPr defaultRowHeight="15.75"/>
  <cols>
    <col min="1" max="1" width="3" customWidth="1"/>
    <col min="2" max="2" width="6" style="1" customWidth="1"/>
    <col min="3" max="3" width="13" style="2" customWidth="1"/>
    <col min="4" max="4" width="50" style="3" customWidth="1"/>
    <col min="5" max="5" width="20" style="3" customWidth="1"/>
    <col min="6" max="7" width="12" style="4" customWidth="1"/>
    <col min="8" max="9" width="14" style="5" customWidth="1"/>
    <col min="10" max="10" width="13" style="5" customWidth="1"/>
    <col min="11" max="13" width="14" style="5" customWidth="1"/>
    <col min="14" max="14" width="16" style="5" customWidth="1"/>
  </cols>
  <sheetData>
    <row r="1" spans="1:14" s="6" customFormat="1" ht="39.950000000000003" customHeight="1">
      <c r="A1" s="6" t="s">
        <v>0</v>
      </c>
      <c r="B1" s="7" t="s">
        <v>1</v>
      </c>
      <c r="C1" s="8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10" t="s">
        <v>7</v>
      </c>
      <c r="I1" s="10" t="s">
        <v>8</v>
      </c>
      <c r="J1" s="10" t="s">
        <v>9</v>
      </c>
      <c r="K1" s="10" t="s">
        <v>10</v>
      </c>
      <c r="L1" s="10" t="s">
        <v>11</v>
      </c>
      <c r="M1" s="10" t="s">
        <v>12</v>
      </c>
      <c r="N1" s="11" t="s">
        <v>13</v>
      </c>
    </row>
    <row r="2" spans="1:14" ht="15">
      <c r="A2" t="s">
        <v>0</v>
      </c>
      <c r="B2" s="30" t="s">
        <v>14</v>
      </c>
      <c r="C2" s="30"/>
      <c r="D2" s="30"/>
      <c r="E2" s="30"/>
      <c r="F2" s="30"/>
      <c r="G2" s="30"/>
      <c r="H2" s="30"/>
      <c r="I2" s="30"/>
      <c r="J2" s="30"/>
      <c r="K2" s="30"/>
      <c r="L2" s="31" t="s">
        <v>15</v>
      </c>
      <c r="M2" s="31"/>
      <c r="N2" s="12" t="s">
        <v>16</v>
      </c>
    </row>
    <row r="3" spans="1:14" ht="15">
      <c r="B3" s="30"/>
      <c r="C3" s="30"/>
      <c r="D3" s="30"/>
      <c r="E3" s="30"/>
      <c r="F3" s="30"/>
      <c r="G3" s="30"/>
      <c r="H3" s="30"/>
      <c r="I3" s="30"/>
      <c r="J3" s="30"/>
      <c r="K3" s="30"/>
      <c r="L3" s="32" t="s">
        <v>17</v>
      </c>
      <c r="M3" s="32"/>
      <c r="N3" s="13">
        <v>0</v>
      </c>
    </row>
    <row r="4" spans="1:14" s="14" customFormat="1" ht="15">
      <c r="B4" s="15"/>
      <c r="C4" s="16" t="s">
        <v>18</v>
      </c>
      <c r="D4" s="33" t="s">
        <v>19</v>
      </c>
      <c r="E4" s="33"/>
      <c r="F4" s="33"/>
      <c r="G4" s="33"/>
      <c r="H4" s="33"/>
      <c r="I4" s="33"/>
      <c r="J4" s="33"/>
      <c r="K4" s="33"/>
      <c r="L4" s="33"/>
      <c r="M4" s="33"/>
      <c r="N4" s="33"/>
    </row>
    <row r="5" spans="1:14" s="17" customFormat="1" ht="12.75">
      <c r="B5" s="18"/>
      <c r="C5" s="19" t="s">
        <v>20</v>
      </c>
      <c r="D5" s="34" t="s">
        <v>21</v>
      </c>
      <c r="E5" s="34"/>
      <c r="F5" s="34"/>
      <c r="G5" s="34"/>
      <c r="H5" s="34"/>
      <c r="I5" s="34"/>
      <c r="J5" s="34"/>
      <c r="K5" s="34"/>
      <c r="L5" s="34"/>
      <c r="M5" s="34"/>
      <c r="N5" s="34"/>
    </row>
    <row r="6" spans="1:14">
      <c r="B6" s="20">
        <v>1</v>
      </c>
      <c r="C6" s="21" t="s">
        <v>22</v>
      </c>
      <c r="D6" s="22" t="s">
        <v>23</v>
      </c>
      <c r="E6" s="22" t="s">
        <v>24</v>
      </c>
      <c r="F6" s="23">
        <v>0.43</v>
      </c>
      <c r="G6" s="24">
        <v>1</v>
      </c>
      <c r="H6" s="25">
        <f>F6 * G6 * 1717.8024</f>
        <v>738.65503200000001</v>
      </c>
      <c r="I6" s="25">
        <f>F6 * G6 * 2684.13</f>
        <v>1154.1759</v>
      </c>
      <c r="J6" s="25">
        <f>F6 * G6 * 0</f>
        <v>0</v>
      </c>
      <c r="K6" s="25">
        <f>F6 * G6 * 1635.347885</f>
        <v>703.19959054999993</v>
      </c>
      <c r="L6" s="25">
        <f>F6 * G6 * 673.178701</f>
        <v>289.46684142999999</v>
      </c>
      <c r="M6" s="25">
        <f>F6 * G6 * 343.56048</f>
        <v>147.73100639999998</v>
      </c>
      <c r="N6" s="26">
        <f>SUM(H6:M6)</f>
        <v>3033.2283703799994</v>
      </c>
    </row>
    <row r="7" spans="1:14" s="14" customFormat="1" ht="15">
      <c r="B7" s="15"/>
      <c r="C7" s="16" t="s">
        <v>25</v>
      </c>
      <c r="D7" s="33" t="s">
        <v>26</v>
      </c>
      <c r="E7" s="33"/>
      <c r="F7" s="33"/>
      <c r="G7" s="33"/>
      <c r="H7" s="33"/>
      <c r="I7" s="33"/>
      <c r="J7" s="33"/>
      <c r="K7" s="33"/>
      <c r="L7" s="33"/>
      <c r="M7" s="33"/>
      <c r="N7" s="33"/>
    </row>
    <row r="8" spans="1:14" s="17" customFormat="1" ht="12.75">
      <c r="B8" s="18"/>
      <c r="C8" s="19" t="s">
        <v>27</v>
      </c>
      <c r="D8" s="34" t="s">
        <v>28</v>
      </c>
      <c r="E8" s="34"/>
      <c r="F8" s="34"/>
      <c r="G8" s="34"/>
      <c r="H8" s="34"/>
      <c r="I8" s="34"/>
      <c r="J8" s="34"/>
      <c r="K8" s="34"/>
      <c r="L8" s="34"/>
      <c r="M8" s="34"/>
      <c r="N8" s="34"/>
    </row>
    <row r="9" spans="1:14" s="17" customFormat="1" ht="12.75">
      <c r="B9" s="18"/>
      <c r="C9" s="19" t="s">
        <v>29</v>
      </c>
      <c r="D9" s="35" t="s">
        <v>30</v>
      </c>
      <c r="E9" s="35"/>
      <c r="F9" s="35"/>
      <c r="G9" s="35"/>
      <c r="H9" s="35"/>
      <c r="I9" s="35"/>
      <c r="J9" s="35"/>
      <c r="K9" s="35"/>
      <c r="L9" s="35"/>
      <c r="M9" s="35"/>
      <c r="N9" s="35"/>
    </row>
    <row r="10" spans="1:14" ht="25.5">
      <c r="B10" s="20">
        <v>2</v>
      </c>
      <c r="C10" s="21" t="s">
        <v>31</v>
      </c>
      <c r="D10" s="22" t="s">
        <v>32</v>
      </c>
      <c r="E10" s="22" t="s">
        <v>33</v>
      </c>
      <c r="F10" s="23">
        <v>1</v>
      </c>
      <c r="G10" s="24">
        <v>1</v>
      </c>
      <c r="H10" s="25">
        <f>F10 * G10 * 1380</f>
        <v>1380</v>
      </c>
      <c r="I10" s="25">
        <f>F10 * G10 * 448.663757</f>
        <v>448.66375699999998</v>
      </c>
      <c r="J10" s="25">
        <f>F10 * G10 * 0</f>
        <v>0</v>
      </c>
      <c r="K10" s="25">
        <f>F10 * G10 * 1313.76</f>
        <v>1313.76</v>
      </c>
      <c r="L10" s="25">
        <f>F10 * G10 * 360.643707</f>
        <v>360.64370700000001</v>
      </c>
      <c r="M10" s="25">
        <f>F10 * G10 * 276</f>
        <v>276</v>
      </c>
      <c r="N10" s="26">
        <f>SUM(H10:M10)</f>
        <v>3779.0674640000002</v>
      </c>
    </row>
    <row r="11" spans="1:14" ht="25.5">
      <c r="B11" s="20">
        <v>3</v>
      </c>
      <c r="C11" s="21" t="s">
        <v>34</v>
      </c>
      <c r="D11" s="22" t="s">
        <v>35</v>
      </c>
      <c r="E11" s="22" t="s">
        <v>33</v>
      </c>
      <c r="F11" s="23">
        <v>1</v>
      </c>
      <c r="G11" s="24">
        <v>1</v>
      </c>
      <c r="H11" s="25">
        <f>F11 * G11 * 1794</f>
        <v>1794</v>
      </c>
      <c r="I11" s="25">
        <f>F11 * G11 * 419.181225</f>
        <v>419.18122499999998</v>
      </c>
      <c r="J11" s="25">
        <f>F11 * G11 * 0</f>
        <v>0</v>
      </c>
      <c r="K11" s="25">
        <f>F11 * G11 * 1707.888</f>
        <v>1707.8879999999999</v>
      </c>
      <c r="L11" s="25">
        <f>F11 * G11 * 451.526202999999</f>
        <v>451.52620299999899</v>
      </c>
      <c r="M11" s="25">
        <f>F11 * G11 * 358.8</f>
        <v>358.8</v>
      </c>
      <c r="N11" s="26">
        <f>SUM(H11:M11)</f>
        <v>4731.3954279999989</v>
      </c>
    </row>
    <row r="12" spans="1:14" s="17" customFormat="1" ht="12.75">
      <c r="B12" s="18"/>
      <c r="C12" s="19" t="s">
        <v>36</v>
      </c>
      <c r="D12" s="35" t="s">
        <v>37</v>
      </c>
      <c r="E12" s="35"/>
      <c r="F12" s="35"/>
      <c r="G12" s="35"/>
      <c r="H12" s="35"/>
      <c r="I12" s="35"/>
      <c r="J12" s="35"/>
      <c r="K12" s="35"/>
      <c r="L12" s="35"/>
      <c r="M12" s="35"/>
      <c r="N12" s="35"/>
    </row>
    <row r="13" spans="1:14" ht="25.5">
      <c r="B13" s="20">
        <v>4</v>
      </c>
      <c r="C13" s="21" t="s">
        <v>38</v>
      </c>
      <c r="D13" s="22" t="s">
        <v>39</v>
      </c>
      <c r="E13" s="22" t="s">
        <v>33</v>
      </c>
      <c r="F13" s="23">
        <v>0.76</v>
      </c>
      <c r="G13" s="24">
        <v>1</v>
      </c>
      <c r="H13" s="25">
        <f>F13 * G13 * 6072</f>
        <v>4614.72</v>
      </c>
      <c r="I13" s="25">
        <f>F13 * G13 * 2240.512006</f>
        <v>1702.7891245599999</v>
      </c>
      <c r="J13" s="25">
        <f>F13 * G13 * 0</f>
        <v>0</v>
      </c>
      <c r="K13" s="25">
        <f>F13 * G13 * 5780.544</f>
        <v>4393.2134399999995</v>
      </c>
      <c r="L13" s="25">
        <f>F13 * G13 * 1614.936609</f>
        <v>1227.3518228400001</v>
      </c>
      <c r="M13" s="25">
        <f>F13 * G13 * 1214.4</f>
        <v>922.94400000000007</v>
      </c>
      <c r="N13" s="26">
        <f>SUM(H13:M13)</f>
        <v>12861.018387399999</v>
      </c>
    </row>
    <row r="14" spans="1:14" s="17" customFormat="1" ht="12.75">
      <c r="B14" s="18"/>
      <c r="C14" s="19" t="s">
        <v>40</v>
      </c>
      <c r="D14" s="34" t="s">
        <v>41</v>
      </c>
      <c r="E14" s="34"/>
      <c r="F14" s="34"/>
      <c r="G14" s="34"/>
      <c r="H14" s="34"/>
      <c r="I14" s="34"/>
      <c r="J14" s="34"/>
      <c r="K14" s="34"/>
      <c r="L14" s="34"/>
      <c r="M14" s="34"/>
      <c r="N14" s="34"/>
    </row>
    <row r="15" spans="1:14" ht="25.5">
      <c r="B15" s="20">
        <v>5</v>
      </c>
      <c r="C15" s="21" t="s">
        <v>42</v>
      </c>
      <c r="D15" s="22" t="s">
        <v>43</v>
      </c>
      <c r="E15" s="22" t="s">
        <v>44</v>
      </c>
      <c r="F15" s="23">
        <v>0.25</v>
      </c>
      <c r="G15" s="24">
        <v>1</v>
      </c>
      <c r="H15" s="25">
        <f>F15 * G15 * 49429.2</f>
        <v>12357.3</v>
      </c>
      <c r="I15" s="25">
        <f>F15 * G15 * 17366.40406</f>
        <v>4341.6010150000002</v>
      </c>
      <c r="J15" s="25">
        <f>F15 * G15 * 0</f>
        <v>0</v>
      </c>
      <c r="K15" s="25">
        <f>F15 * G15 * 47056.5984</f>
        <v>11764.149600000001</v>
      </c>
      <c r="L15" s="25">
        <f>F15 * G15 * 13054.363479</f>
        <v>3263.5908697499999</v>
      </c>
      <c r="M15" s="25">
        <f>F15 * G15 * 9885.84</f>
        <v>2471.46</v>
      </c>
      <c r="N15" s="26">
        <f>SUM(H15:M15)</f>
        <v>34198.101484749997</v>
      </c>
    </row>
    <row r="16" spans="1:14" ht="25.5">
      <c r="B16" s="20">
        <v>6</v>
      </c>
      <c r="C16" s="21" t="s">
        <v>45</v>
      </c>
      <c r="D16" s="22" t="s">
        <v>46</v>
      </c>
      <c r="E16" s="22" t="s">
        <v>47</v>
      </c>
      <c r="F16" s="23">
        <v>0.6</v>
      </c>
      <c r="G16" s="24">
        <v>1</v>
      </c>
      <c r="H16" s="25">
        <f>F16 * G16 * 2208</f>
        <v>1324.8</v>
      </c>
      <c r="I16" s="25">
        <f>F16 * G16 * 454.051749</f>
        <v>272.43104939999995</v>
      </c>
      <c r="J16" s="25">
        <f>F16 * G16 * 0</f>
        <v>0</v>
      </c>
      <c r="K16" s="25">
        <f>F16 * G16 * 2102.016</f>
        <v>1261.2095999999999</v>
      </c>
      <c r="L16" s="25">
        <f>F16 * G16 * 549.197948</f>
        <v>329.51876879999998</v>
      </c>
      <c r="M16" s="25">
        <f>F16 * G16 * 441.6</f>
        <v>264.95999999999998</v>
      </c>
      <c r="N16" s="26">
        <f>SUM(H16:M16)</f>
        <v>3452.9194181999997</v>
      </c>
    </row>
    <row r="17" spans="2:14">
      <c r="B17" s="20">
        <v>7</v>
      </c>
      <c r="C17" s="21" t="s">
        <v>48</v>
      </c>
      <c r="D17" s="22" t="s">
        <v>49</v>
      </c>
      <c r="E17" s="22" t="s">
        <v>50</v>
      </c>
      <c r="F17" s="23">
        <v>0.5</v>
      </c>
      <c r="G17" s="24">
        <v>1</v>
      </c>
      <c r="H17" s="25">
        <f>F17 * G17 * 4864.482</f>
        <v>2432.241</v>
      </c>
      <c r="I17" s="25">
        <f>F17 * G17 * 106.528474</f>
        <v>53.264237000000001</v>
      </c>
      <c r="J17" s="25">
        <f>F17 * G17 * 0</f>
        <v>0</v>
      </c>
      <c r="K17" s="25">
        <f>F17 * G17 * 4630.986864</f>
        <v>2315.4934320000002</v>
      </c>
      <c r="L17" s="25">
        <f>F17 * G17 * 1115.65129</f>
        <v>557.82564500000001</v>
      </c>
      <c r="M17" s="25">
        <f>F17 * G17 * 972.8964</f>
        <v>486.44819999999999</v>
      </c>
      <c r="N17" s="26">
        <f>SUM(H17:M17)</f>
        <v>5845.2725140000002</v>
      </c>
    </row>
    <row r="18" spans="2:14" s="14" customFormat="1" ht="15">
      <c r="B18" s="15"/>
      <c r="C18" s="16" t="s">
        <v>51</v>
      </c>
      <c r="D18" s="33" t="s">
        <v>52</v>
      </c>
      <c r="E18" s="33"/>
      <c r="F18" s="33"/>
      <c r="G18" s="33"/>
      <c r="H18" s="33"/>
      <c r="I18" s="33"/>
      <c r="J18" s="33"/>
      <c r="K18" s="33"/>
      <c r="L18" s="33"/>
      <c r="M18" s="33"/>
      <c r="N18" s="33"/>
    </row>
    <row r="19" spans="2:14" s="17" customFormat="1" ht="12.75">
      <c r="B19" s="18"/>
      <c r="C19" s="19" t="s">
        <v>53</v>
      </c>
      <c r="D19" s="34" t="s">
        <v>54</v>
      </c>
      <c r="E19" s="34"/>
      <c r="F19" s="34"/>
      <c r="G19" s="34"/>
      <c r="H19" s="34"/>
      <c r="I19" s="34"/>
      <c r="J19" s="34"/>
      <c r="K19" s="34"/>
      <c r="L19" s="34"/>
      <c r="M19" s="34"/>
      <c r="N19" s="34"/>
    </row>
    <row r="20" spans="2:14" ht="51">
      <c r="B20" s="20">
        <v>8</v>
      </c>
      <c r="C20" s="21" t="s">
        <v>55</v>
      </c>
      <c r="D20" s="22" t="s">
        <v>56</v>
      </c>
      <c r="E20" s="22" t="s">
        <v>57</v>
      </c>
      <c r="F20" s="23">
        <v>0.25</v>
      </c>
      <c r="G20" s="24">
        <v>1</v>
      </c>
      <c r="H20" s="25">
        <f>F20 * G20 * 36699.53064</f>
        <v>9174.8826599999993</v>
      </c>
      <c r="I20" s="25">
        <f>F20 * G20 * 12635.89668</f>
        <v>3158.97417</v>
      </c>
      <c r="J20" s="25">
        <f>F20 * G20 * 205.132158</f>
        <v>51.283039500000001</v>
      </c>
      <c r="K20" s="25">
        <f>F20 * G20 * 35104.766061</f>
        <v>8776.1915152500005</v>
      </c>
      <c r="L20" s="25">
        <f>F20 * G20 * 9708.139159</f>
        <v>2427.0347897500001</v>
      </c>
      <c r="M20" s="25">
        <f>F20 * G20 * 7374.950853</f>
        <v>1843.7377132500001</v>
      </c>
      <c r="N20" s="26">
        <f>SUM(H20:M20)</f>
        <v>25432.10388775</v>
      </c>
    </row>
    <row r="21" spans="2:14" s="17" customFormat="1" ht="12.75">
      <c r="B21" s="18"/>
      <c r="C21" s="19" t="s">
        <v>58</v>
      </c>
      <c r="D21" s="34" t="s">
        <v>59</v>
      </c>
      <c r="E21" s="34"/>
      <c r="F21" s="34"/>
      <c r="G21" s="34"/>
      <c r="H21" s="34"/>
      <c r="I21" s="34"/>
      <c r="J21" s="34"/>
      <c r="K21" s="34"/>
      <c r="L21" s="34"/>
      <c r="M21" s="34"/>
      <c r="N21" s="34"/>
    </row>
    <row r="22" spans="2:14" ht="25.5">
      <c r="B22" s="20">
        <v>9</v>
      </c>
      <c r="C22" s="21" t="s">
        <v>60</v>
      </c>
      <c r="D22" s="22" t="s">
        <v>61</v>
      </c>
      <c r="E22" s="22" t="s">
        <v>57</v>
      </c>
      <c r="F22" s="23">
        <v>2.5</v>
      </c>
      <c r="G22" s="24">
        <v>1</v>
      </c>
      <c r="H22" s="25">
        <f>F22 * G22 * 4594.02</f>
        <v>11485.050000000001</v>
      </c>
      <c r="I22" s="25">
        <f>F22 * G22 * 2100.335666</f>
        <v>5250.8391649999994</v>
      </c>
      <c r="J22" s="25">
        <f>F22 * G22 * 0</f>
        <v>0</v>
      </c>
      <c r="K22" s="25">
        <f>F22 * G22 * 4373.50703999999</f>
        <v>10933.767599999976</v>
      </c>
      <c r="L22" s="25">
        <f>F22 * G22 * 1264.593338</f>
        <v>3161.4833449999996</v>
      </c>
      <c r="M22" s="25">
        <f>F22 * G22 * 918.804</f>
        <v>2297.0099999999998</v>
      </c>
      <c r="N22" s="26">
        <f>SUM(H22:M22)</f>
        <v>33128.15010999998</v>
      </c>
    </row>
    <row r="23" spans="2:14" s="14" customFormat="1" ht="15">
      <c r="B23" s="15"/>
      <c r="C23" s="16" t="s">
        <v>62</v>
      </c>
      <c r="D23" s="33" t="s">
        <v>63</v>
      </c>
      <c r="E23" s="33"/>
      <c r="F23" s="33"/>
      <c r="G23" s="33"/>
      <c r="H23" s="33"/>
      <c r="I23" s="33"/>
      <c r="J23" s="33"/>
      <c r="K23" s="33"/>
      <c r="L23" s="33"/>
      <c r="M23" s="33"/>
      <c r="N23" s="33"/>
    </row>
    <row r="24" spans="2:14" s="17" customFormat="1" ht="12.75">
      <c r="B24" s="18"/>
      <c r="C24" s="19" t="s">
        <v>64</v>
      </c>
      <c r="D24" s="34" t="s">
        <v>65</v>
      </c>
      <c r="E24" s="34"/>
      <c r="F24" s="34"/>
      <c r="G24" s="34"/>
      <c r="H24" s="34"/>
      <c r="I24" s="34"/>
      <c r="J24" s="34"/>
      <c r="K24" s="34"/>
      <c r="L24" s="34"/>
      <c r="M24" s="34"/>
      <c r="N24" s="34"/>
    </row>
    <row r="25" spans="2:14" s="17" customFormat="1" ht="12.75">
      <c r="B25" s="18"/>
      <c r="C25" s="19" t="s">
        <v>66</v>
      </c>
      <c r="D25" s="35" t="s">
        <v>67</v>
      </c>
      <c r="E25" s="35"/>
      <c r="F25" s="35"/>
      <c r="G25" s="35"/>
      <c r="H25" s="35"/>
      <c r="I25" s="35"/>
      <c r="J25" s="35"/>
      <c r="K25" s="35"/>
      <c r="L25" s="35"/>
      <c r="M25" s="35"/>
      <c r="N25" s="35"/>
    </row>
    <row r="26" spans="2:14" ht="25.5">
      <c r="B26" s="20">
        <v>10</v>
      </c>
      <c r="C26" s="21" t="s">
        <v>68</v>
      </c>
      <c r="D26" s="22" t="s">
        <v>69</v>
      </c>
      <c r="E26" s="22" t="s">
        <v>70</v>
      </c>
      <c r="F26" s="23">
        <v>0.15</v>
      </c>
      <c r="G26" s="24">
        <v>1</v>
      </c>
      <c r="H26" s="25">
        <f>F26 * G26 * 11350.458</f>
        <v>1702.5687</v>
      </c>
      <c r="I26" s="25">
        <f>F26 * G26 * 25973.943342</f>
        <v>3896.0915012999994</v>
      </c>
      <c r="J26" s="25">
        <f>F26 * G26 * 0</f>
        <v>0</v>
      </c>
      <c r="K26" s="25">
        <f>F26 * G26 * 10805.636016</f>
        <v>1620.8454024</v>
      </c>
      <c r="L26" s="25">
        <f>F26 * G26 * 5317.213605</f>
        <v>797.58204074999992</v>
      </c>
      <c r="M26" s="25">
        <f>F26 * G26 * 2270.0916</f>
        <v>340.51374000000004</v>
      </c>
      <c r="N26" s="26">
        <f>SUM(H26:M26)</f>
        <v>8357.6013844499994</v>
      </c>
    </row>
    <row r="27" spans="2:14" s="17" customFormat="1" ht="12.75">
      <c r="B27" s="18"/>
      <c r="C27" s="19" t="s">
        <v>71</v>
      </c>
      <c r="D27" s="34" t="s">
        <v>72</v>
      </c>
      <c r="E27" s="34"/>
      <c r="F27" s="34"/>
      <c r="G27" s="34"/>
      <c r="H27" s="34"/>
      <c r="I27" s="34"/>
      <c r="J27" s="34"/>
      <c r="K27" s="34"/>
      <c r="L27" s="34"/>
      <c r="M27" s="34"/>
      <c r="N27" s="34"/>
    </row>
    <row r="28" spans="2:14">
      <c r="B28" s="20">
        <v>11</v>
      </c>
      <c r="C28" s="21" t="s">
        <v>73</v>
      </c>
      <c r="D28" s="22" t="s">
        <v>74</v>
      </c>
      <c r="E28" s="22" t="s">
        <v>75</v>
      </c>
      <c r="F28" s="23">
        <v>0.03</v>
      </c>
      <c r="G28" s="24">
        <v>1</v>
      </c>
      <c r="H28" s="25">
        <f>F28 * G28 * 12851.592</f>
        <v>385.54775999999998</v>
      </c>
      <c r="I28" s="25">
        <f>F28 * G28 * 44507.068208</f>
        <v>1335.2120462399998</v>
      </c>
      <c r="J28" s="25">
        <f>F28 * G28 * 0</f>
        <v>0</v>
      </c>
      <c r="K28" s="25">
        <f>F28 * G28 * 12234.715584</f>
        <v>367.04146751999997</v>
      </c>
      <c r="L28" s="25">
        <f>F28 * G28 * 7613.269737</f>
        <v>228.39809210999999</v>
      </c>
      <c r="M28" s="25">
        <f>F28 * G28 * 2570.3184</f>
        <v>77.109551999999994</v>
      </c>
      <c r="N28" s="26">
        <f>SUM(H28:M28)</f>
        <v>2393.3089178699997</v>
      </c>
    </row>
    <row r="29" spans="2:14" s="14" customFormat="1" ht="15">
      <c r="B29" s="15"/>
      <c r="C29" s="16" t="s">
        <v>76</v>
      </c>
      <c r="D29" s="33" t="s">
        <v>77</v>
      </c>
      <c r="E29" s="33"/>
      <c r="F29" s="33"/>
      <c r="G29" s="33"/>
      <c r="H29" s="33"/>
      <c r="I29" s="33"/>
      <c r="J29" s="33"/>
      <c r="K29" s="33"/>
      <c r="L29" s="33"/>
      <c r="M29" s="33"/>
      <c r="N29" s="33"/>
    </row>
    <row r="30" spans="2:14" s="17" customFormat="1" ht="12.75">
      <c r="B30" s="18"/>
      <c r="C30" s="19" t="s">
        <v>78</v>
      </c>
      <c r="D30" s="34" t="s">
        <v>79</v>
      </c>
      <c r="E30" s="34"/>
      <c r="F30" s="34"/>
      <c r="G30" s="34"/>
      <c r="H30" s="34"/>
      <c r="I30" s="34"/>
      <c r="J30" s="34"/>
      <c r="K30" s="34"/>
      <c r="L30" s="34"/>
      <c r="M30" s="34"/>
      <c r="N30" s="34"/>
    </row>
    <row r="31" spans="2:14">
      <c r="B31" s="20">
        <v>12</v>
      </c>
      <c r="C31" s="21" t="s">
        <v>80</v>
      </c>
      <c r="D31" s="22" t="s">
        <v>81</v>
      </c>
      <c r="E31" s="22" t="s">
        <v>82</v>
      </c>
      <c r="F31" s="23">
        <v>0.05</v>
      </c>
      <c r="G31" s="24">
        <v>1</v>
      </c>
      <c r="H31" s="25">
        <f>F31 * G31 * 25839.6192</f>
        <v>1291.9809600000001</v>
      </c>
      <c r="I31" s="25">
        <f>F31 * G31 * 53244.206856</f>
        <v>2662.2103428</v>
      </c>
      <c r="J31" s="25">
        <f>F31 * G31 * 0</f>
        <v>0</v>
      </c>
      <c r="K31" s="25">
        <f>F31 * G31 * 24599.3174779999</f>
        <v>1229.9658738999951</v>
      </c>
      <c r="L31" s="25">
        <f>F31 * G31 * 11483.787608</f>
        <v>574.1893804</v>
      </c>
      <c r="M31" s="25">
        <f>F31 * G31 * 5167.92384</f>
        <v>258.39619200000004</v>
      </c>
      <c r="N31" s="26">
        <f>SUM(H31:M31)</f>
        <v>6016.7427490999953</v>
      </c>
    </row>
    <row r="32" spans="2:14">
      <c r="B32" s="20">
        <v>13</v>
      </c>
      <c r="C32" s="21" t="s">
        <v>83</v>
      </c>
      <c r="D32" s="22" t="s">
        <v>84</v>
      </c>
      <c r="E32" s="22" t="s">
        <v>57</v>
      </c>
      <c r="F32" s="23">
        <v>0.06</v>
      </c>
      <c r="G32" s="24">
        <v>1</v>
      </c>
      <c r="H32" s="25">
        <f>F32 * G32 * 7314</f>
        <v>438.84</v>
      </c>
      <c r="I32" s="25">
        <f>F32 * G32 * 2986.115776</f>
        <v>179.16694655999999</v>
      </c>
      <c r="J32" s="25">
        <f>F32 * G32 * 0</f>
        <v>0</v>
      </c>
      <c r="K32" s="25">
        <f>F32 * G32 * 6962.928</f>
        <v>417.77567999999997</v>
      </c>
      <c r="L32" s="25">
        <f>F32 * G32 * 1975.57651799999</f>
        <v>118.5345910799994</v>
      </c>
      <c r="M32" s="25">
        <f>F32 * G32 * 1462.8</f>
        <v>87.768000000000001</v>
      </c>
      <c r="N32" s="26">
        <f>SUM(H32:M32)</f>
        <v>1242.0852176399994</v>
      </c>
    </row>
    <row r="33" spans="2:14" s="17" customFormat="1" ht="12.75">
      <c r="B33" s="18"/>
      <c r="C33" s="19" t="s">
        <v>85</v>
      </c>
      <c r="D33" s="34" t="s">
        <v>86</v>
      </c>
      <c r="E33" s="34"/>
      <c r="F33" s="34"/>
      <c r="G33" s="34"/>
      <c r="H33" s="34"/>
      <c r="I33" s="34"/>
      <c r="J33" s="34"/>
      <c r="K33" s="34"/>
      <c r="L33" s="34"/>
      <c r="M33" s="34"/>
      <c r="N33" s="34"/>
    </row>
    <row r="34" spans="2:14">
      <c r="B34" s="20">
        <v>14</v>
      </c>
      <c r="C34" s="21" t="s">
        <v>87</v>
      </c>
      <c r="D34" s="22" t="s">
        <v>88</v>
      </c>
      <c r="E34" s="22" t="s">
        <v>57</v>
      </c>
      <c r="F34" s="23">
        <v>0.6</v>
      </c>
      <c r="G34" s="24">
        <v>1</v>
      </c>
      <c r="H34" s="25">
        <f>F34 * G34 * 11178</f>
        <v>6706.8</v>
      </c>
      <c r="I34" s="25">
        <f>F34 * G34 * 2326.331699</f>
        <v>1395.7990193999999</v>
      </c>
      <c r="J34" s="25">
        <f>F34 * G34 * 0</f>
        <v>0</v>
      </c>
      <c r="K34" s="25">
        <f>F34 * G34 * 10641.456</f>
        <v>6384.8735999999999</v>
      </c>
      <c r="L34" s="25">
        <f>F34 * G34 * 2783.236402</f>
        <v>1669.9418412</v>
      </c>
      <c r="M34" s="25">
        <f>F34 * G34 * 2235.6</f>
        <v>1341.36</v>
      </c>
      <c r="N34" s="26">
        <f>SUM(H34:M34)</f>
        <v>17498.774460599998</v>
      </c>
    </row>
    <row r="35" spans="2:14" s="14" customFormat="1" ht="15">
      <c r="B35" s="15"/>
      <c r="C35" s="16" t="s">
        <v>89</v>
      </c>
      <c r="D35" s="33" t="s">
        <v>90</v>
      </c>
      <c r="E35" s="33"/>
      <c r="F35" s="33"/>
      <c r="G35" s="33"/>
      <c r="H35" s="33"/>
      <c r="I35" s="33"/>
      <c r="J35" s="33"/>
      <c r="K35" s="33"/>
      <c r="L35" s="33"/>
      <c r="M35" s="33"/>
      <c r="N35" s="33"/>
    </row>
    <row r="36" spans="2:14" s="17" customFormat="1" ht="12.75">
      <c r="B36" s="18"/>
      <c r="C36" s="19" t="s">
        <v>91</v>
      </c>
      <c r="D36" s="34" t="s">
        <v>92</v>
      </c>
      <c r="E36" s="34"/>
      <c r="F36" s="34"/>
      <c r="G36" s="34"/>
      <c r="H36" s="34"/>
      <c r="I36" s="34"/>
      <c r="J36" s="34"/>
      <c r="K36" s="34"/>
      <c r="L36" s="34"/>
      <c r="M36" s="34"/>
      <c r="N36" s="34"/>
    </row>
    <row r="37" spans="2:14" ht="38.25">
      <c r="B37" s="20">
        <v>15</v>
      </c>
      <c r="C37" s="21" t="s">
        <v>93</v>
      </c>
      <c r="D37" s="22" t="s">
        <v>94</v>
      </c>
      <c r="E37" s="22" t="s">
        <v>95</v>
      </c>
      <c r="F37" s="23">
        <v>0.3</v>
      </c>
      <c r="G37" s="24">
        <v>1</v>
      </c>
      <c r="H37" s="25">
        <f>F37 * G37 * 8659.5</f>
        <v>2597.85</v>
      </c>
      <c r="I37" s="25">
        <f>F37 * G37 * 1090.294211</f>
        <v>327.08826329999994</v>
      </c>
      <c r="J37" s="25">
        <f>F37 * G37 * 0</f>
        <v>0</v>
      </c>
      <c r="K37" s="25">
        <f>F37 * G37 * 8243.844</f>
        <v>2473.1531999999997</v>
      </c>
      <c r="L37" s="25">
        <f>F37 * G37 * 2081.044281</f>
        <v>624.31328429999996</v>
      </c>
      <c r="M37" s="25">
        <f>F37 * G37 * 1731.9</f>
        <v>519.57000000000005</v>
      </c>
      <c r="N37" s="26">
        <f>SUM(H37:M37)</f>
        <v>6541.9747475999993</v>
      </c>
    </row>
    <row r="38" spans="2:14" s="14" customFormat="1" ht="15">
      <c r="B38" s="15"/>
      <c r="C38" s="16" t="s">
        <v>96</v>
      </c>
      <c r="D38" s="33" t="s">
        <v>97</v>
      </c>
      <c r="E38" s="33"/>
      <c r="F38" s="33"/>
      <c r="G38" s="33"/>
      <c r="H38" s="33"/>
      <c r="I38" s="33"/>
      <c r="J38" s="33"/>
      <c r="K38" s="33"/>
      <c r="L38" s="33"/>
      <c r="M38" s="33"/>
      <c r="N38" s="33"/>
    </row>
    <row r="39" spans="2:14" s="17" customFormat="1" ht="12.75">
      <c r="B39" s="18"/>
      <c r="C39" s="19" t="s">
        <v>98</v>
      </c>
      <c r="D39" s="34" t="s">
        <v>99</v>
      </c>
      <c r="E39" s="34"/>
      <c r="F39" s="34"/>
      <c r="G39" s="34"/>
      <c r="H39" s="34"/>
      <c r="I39" s="34"/>
      <c r="J39" s="34"/>
      <c r="K39" s="34"/>
      <c r="L39" s="34"/>
      <c r="M39" s="34"/>
      <c r="N39" s="34"/>
    </row>
    <row r="40" spans="2:14" s="17" customFormat="1" ht="12.75">
      <c r="B40" s="18"/>
      <c r="C40" s="19" t="s">
        <v>100</v>
      </c>
      <c r="D40" s="35" t="s">
        <v>101</v>
      </c>
      <c r="E40" s="35"/>
      <c r="F40" s="35"/>
      <c r="G40" s="35"/>
      <c r="H40" s="35"/>
      <c r="I40" s="35"/>
      <c r="J40" s="35"/>
      <c r="K40" s="35"/>
      <c r="L40" s="35"/>
      <c r="M40" s="35"/>
      <c r="N40" s="35"/>
    </row>
    <row r="41" spans="2:14" ht="38.25">
      <c r="B41" s="20">
        <v>16</v>
      </c>
      <c r="C41" s="21" t="s">
        <v>102</v>
      </c>
      <c r="D41" s="22" t="s">
        <v>103</v>
      </c>
      <c r="E41" s="22" t="s">
        <v>104</v>
      </c>
      <c r="F41" s="23">
        <v>1.4999999999999999E-2</v>
      </c>
      <c r="G41" s="24">
        <v>1</v>
      </c>
      <c r="H41" s="25">
        <f>F41 * G41 * 22070.1378</f>
        <v>331.05206700000002</v>
      </c>
      <c r="I41" s="25">
        <f>F41 * G41 * 10897.981095</f>
        <v>163.46971642499997</v>
      </c>
      <c r="J41" s="25">
        <f>F41 * G41 * 0</f>
        <v>0</v>
      </c>
      <c r="K41" s="25">
        <f>F41 * G41 * 21010.7711859999</f>
        <v>315.16156778999851</v>
      </c>
      <c r="L41" s="25">
        <f>F41 * G41 * 6160.452811</f>
        <v>92.406792164999999</v>
      </c>
      <c r="M41" s="25">
        <f>F41 * G41 * 4414.02756</f>
        <v>66.210413400000007</v>
      </c>
      <c r="N41" s="26">
        <f>SUM(H41:M41)</f>
        <v>968.30055677999849</v>
      </c>
    </row>
    <row r="42" spans="2:14" s="14" customFormat="1" ht="15">
      <c r="B42" s="15"/>
      <c r="C42" s="16" t="s">
        <v>105</v>
      </c>
      <c r="D42" s="33" t="s">
        <v>106</v>
      </c>
      <c r="E42" s="33"/>
      <c r="F42" s="33"/>
      <c r="G42" s="33"/>
      <c r="H42" s="33"/>
      <c r="I42" s="33"/>
      <c r="J42" s="33"/>
      <c r="K42" s="33"/>
      <c r="L42" s="33"/>
      <c r="M42" s="33"/>
      <c r="N42" s="33"/>
    </row>
    <row r="43" spans="2:14" s="17" customFormat="1" ht="12.75">
      <c r="B43" s="18"/>
      <c r="C43" s="19" t="s">
        <v>107</v>
      </c>
      <c r="D43" s="34" t="s">
        <v>108</v>
      </c>
      <c r="E43" s="34"/>
      <c r="F43" s="34"/>
      <c r="G43" s="34"/>
      <c r="H43" s="34"/>
      <c r="I43" s="34"/>
      <c r="J43" s="34"/>
      <c r="K43" s="34"/>
      <c r="L43" s="34"/>
      <c r="M43" s="34"/>
      <c r="N43" s="34"/>
    </row>
    <row r="44" spans="2:14" s="17" customFormat="1" ht="12.75">
      <c r="B44" s="18"/>
      <c r="C44" s="19" t="s">
        <v>109</v>
      </c>
      <c r="D44" s="35" t="s">
        <v>110</v>
      </c>
      <c r="E44" s="35"/>
      <c r="F44" s="35"/>
      <c r="G44" s="35"/>
      <c r="H44" s="35"/>
      <c r="I44" s="35"/>
      <c r="J44" s="35"/>
      <c r="K44" s="35"/>
      <c r="L44" s="35"/>
      <c r="M44" s="35"/>
      <c r="N44" s="35"/>
    </row>
    <row r="45" spans="2:14" ht="38.25">
      <c r="B45" s="20">
        <v>17</v>
      </c>
      <c r="C45" s="21" t="s">
        <v>111</v>
      </c>
      <c r="D45" s="22" t="s">
        <v>112</v>
      </c>
      <c r="E45" s="22" t="s">
        <v>113</v>
      </c>
      <c r="F45" s="23">
        <v>10</v>
      </c>
      <c r="G45" s="24">
        <v>1</v>
      </c>
      <c r="H45" s="25">
        <f>F45 * G45 * 31.45272</f>
        <v>314.52719999999999</v>
      </c>
      <c r="I45" s="25">
        <f>F45 * G45 * 3.168864</f>
        <v>31.688639999999999</v>
      </c>
      <c r="J45" s="25">
        <f>F45 * G45 * 0</f>
        <v>0</v>
      </c>
      <c r="K45" s="25">
        <f>F45 * G45 * 29.942989</f>
        <v>299.42989</v>
      </c>
      <c r="L45" s="25">
        <f>F45 * G45 * 7.47521499999999</f>
        <v>74.752149999999901</v>
      </c>
      <c r="M45" s="25">
        <f>F45 * G45 * 6.290544</f>
        <v>62.905439999999999</v>
      </c>
      <c r="N45" s="26">
        <f>SUM(H45:M45)</f>
        <v>783.30331999999987</v>
      </c>
    </row>
    <row r="46" spans="2:14" s="17" customFormat="1" ht="12.75">
      <c r="B46" s="18"/>
      <c r="C46" s="19" t="s">
        <v>114</v>
      </c>
      <c r="D46" s="34" t="s">
        <v>115</v>
      </c>
      <c r="E46" s="34"/>
      <c r="F46" s="34"/>
      <c r="G46" s="34"/>
      <c r="H46" s="34"/>
      <c r="I46" s="34"/>
      <c r="J46" s="34"/>
      <c r="K46" s="34"/>
      <c r="L46" s="34"/>
      <c r="M46" s="34"/>
      <c r="N46" s="34"/>
    </row>
    <row r="47" spans="2:14" ht="25.5">
      <c r="B47" s="20">
        <v>18</v>
      </c>
      <c r="C47" s="21" t="s">
        <v>116</v>
      </c>
      <c r="D47" s="22" t="s">
        <v>117</v>
      </c>
      <c r="E47" s="22" t="s">
        <v>24</v>
      </c>
      <c r="F47" s="23">
        <v>0.02</v>
      </c>
      <c r="G47" s="24">
        <v>1</v>
      </c>
      <c r="H47" s="25">
        <f>F47 * G47 * 20853.288</f>
        <v>417.06576000000001</v>
      </c>
      <c r="I47" s="25">
        <f>F47 * G47 * 14281.888527</f>
        <v>285.63777053999996</v>
      </c>
      <c r="J47" s="25">
        <f>F47 * G47 * 0</f>
        <v>0</v>
      </c>
      <c r="K47" s="25">
        <f>F47 * G47 * 19852.330176</f>
        <v>397.04660352000002</v>
      </c>
      <c r="L47" s="25">
        <f>F47 * G47 * 6241.186334</f>
        <v>124.82372668000001</v>
      </c>
      <c r="M47" s="25">
        <f>F47 * G47 * 4170.6576</f>
        <v>83.413151999999997</v>
      </c>
      <c r="N47" s="26">
        <f>SUM(H47:M47)</f>
        <v>1307.98701274</v>
      </c>
    </row>
    <row r="48" spans="2:14" s="14" customFormat="1" ht="15">
      <c r="B48" s="15"/>
      <c r="C48" s="16" t="s">
        <v>118</v>
      </c>
      <c r="D48" s="33" t="s">
        <v>119</v>
      </c>
      <c r="E48" s="33"/>
      <c r="F48" s="33"/>
      <c r="G48" s="33"/>
      <c r="H48" s="33"/>
      <c r="I48" s="33"/>
      <c r="J48" s="33"/>
      <c r="K48" s="33"/>
      <c r="L48" s="33"/>
      <c r="M48" s="33"/>
      <c r="N48" s="33"/>
    </row>
    <row r="49" spans="2:14" ht="25.5">
      <c r="B49" s="20">
        <v>19</v>
      </c>
      <c r="C49" s="21" t="s">
        <v>120</v>
      </c>
      <c r="D49" s="22" t="s">
        <v>121</v>
      </c>
      <c r="E49" s="22" t="s">
        <v>75</v>
      </c>
      <c r="F49" s="23">
        <v>2</v>
      </c>
      <c r="G49" s="24">
        <v>1</v>
      </c>
      <c r="H49" s="25">
        <f>F49 * G49 * 2443.6344</f>
        <v>4887.2687999999998</v>
      </c>
      <c r="I49" s="25">
        <f>F49 * G49 * 600.324723</f>
        <v>1200.6494459999999</v>
      </c>
      <c r="J49" s="25">
        <f>F49 * G49 * 0</f>
        <v>0</v>
      </c>
      <c r="K49" s="25">
        <f>F49 * G49 * 2326.339949</f>
        <v>4652.6798980000003</v>
      </c>
      <c r="L49" s="25">
        <f>F49 * G49 * 618.127237999999</f>
        <v>1236.254475999998</v>
      </c>
      <c r="M49" s="25">
        <f>F49 * G49 * 488.72688</f>
        <v>977.45375999999999</v>
      </c>
      <c r="N49" s="26">
        <f>SUM(H49:M49)</f>
        <v>12954.306379999998</v>
      </c>
    </row>
    <row r="50" spans="2:14" s="14" customFormat="1" ht="15">
      <c r="B50" s="15"/>
      <c r="C50" s="16" t="s">
        <v>122</v>
      </c>
      <c r="D50" s="33" t="s">
        <v>123</v>
      </c>
      <c r="E50" s="33"/>
      <c r="F50" s="33"/>
      <c r="G50" s="33"/>
      <c r="H50" s="33"/>
      <c r="I50" s="33"/>
      <c r="J50" s="33"/>
      <c r="K50" s="33"/>
      <c r="L50" s="33"/>
      <c r="M50" s="33"/>
      <c r="N50" s="33"/>
    </row>
    <row r="51" spans="2:14">
      <c r="B51" s="20">
        <v>20</v>
      </c>
      <c r="C51" s="21" t="s">
        <v>124</v>
      </c>
      <c r="D51" s="22" t="s">
        <v>125</v>
      </c>
      <c r="E51" s="22" t="s">
        <v>126</v>
      </c>
      <c r="F51" s="23">
        <v>5.0000000000000001E-3</v>
      </c>
      <c r="G51" s="24">
        <v>1</v>
      </c>
      <c r="H51" s="25">
        <f>F51 * G51 * 48388.8</f>
        <v>241.94400000000002</v>
      </c>
      <c r="I51" s="25">
        <f>F51 * G51 * 59115.7592339999</f>
        <v>295.57879616999998</v>
      </c>
      <c r="J51" s="25">
        <f>F51 * G51 * 0</f>
        <v>0</v>
      </c>
      <c r="K51" s="25">
        <f>F51 * G51 * 46066.1376</f>
        <v>230.33068800000001</v>
      </c>
      <c r="L51" s="25">
        <f>F51 * G51 * 17222.712196</f>
        <v>86.113560980000003</v>
      </c>
      <c r="M51" s="25">
        <f>F51 * G51 * 9677.76</f>
        <v>48.388800000000003</v>
      </c>
      <c r="N51" s="26">
        <f>SUM(H51:M51)</f>
        <v>902.35584515000005</v>
      </c>
    </row>
    <row r="52" spans="2:14" s="14" customFormat="1" ht="15">
      <c r="B52" s="15"/>
      <c r="C52" s="16" t="s">
        <v>127</v>
      </c>
      <c r="D52" s="33" t="s">
        <v>128</v>
      </c>
      <c r="E52" s="33"/>
      <c r="F52" s="33"/>
      <c r="G52" s="33"/>
      <c r="H52" s="33"/>
      <c r="I52" s="33"/>
      <c r="J52" s="33"/>
      <c r="K52" s="33"/>
      <c r="L52" s="33"/>
      <c r="M52" s="33"/>
      <c r="N52" s="33"/>
    </row>
    <row r="53" spans="2:14" s="17" customFormat="1" ht="12.75">
      <c r="B53" s="18"/>
      <c r="C53" s="19" t="s">
        <v>129</v>
      </c>
      <c r="D53" s="34" t="s">
        <v>130</v>
      </c>
      <c r="E53" s="34"/>
      <c r="F53" s="34"/>
      <c r="G53" s="34"/>
      <c r="H53" s="34"/>
      <c r="I53" s="34"/>
      <c r="J53" s="34"/>
      <c r="K53" s="34"/>
      <c r="L53" s="34"/>
      <c r="M53" s="34"/>
      <c r="N53" s="34"/>
    </row>
    <row r="54" spans="2:14">
      <c r="B54" s="20">
        <v>21</v>
      </c>
      <c r="C54" s="21" t="s">
        <v>131</v>
      </c>
      <c r="D54" s="22" t="s">
        <v>132</v>
      </c>
      <c r="E54" s="22" t="s">
        <v>133</v>
      </c>
      <c r="F54" s="23">
        <v>1</v>
      </c>
      <c r="G54" s="24">
        <v>1</v>
      </c>
      <c r="H54" s="25">
        <f>F54 * G54 * 818.856</f>
        <v>818.85599999999999</v>
      </c>
      <c r="I54" s="25">
        <f>F54 * G54 * 0</f>
        <v>0</v>
      </c>
      <c r="J54" s="25">
        <f>F54 * G54 * 0</f>
        <v>0</v>
      </c>
      <c r="K54" s="25">
        <f>F54 * G54 * 779.550911999999</f>
        <v>779.55091199999902</v>
      </c>
      <c r="L54" s="25">
        <f>F54 * G54 * 185.909790999999</f>
        <v>185.90979099999899</v>
      </c>
      <c r="M54" s="25">
        <f>F54 * G54 * 163.7712</f>
        <v>163.77119999999999</v>
      </c>
      <c r="N54" s="26">
        <f>SUM(H54:M54)</f>
        <v>1948.0879029999978</v>
      </c>
    </row>
    <row r="55" spans="2:14" s="17" customFormat="1" ht="12.75">
      <c r="B55" s="18"/>
      <c r="C55" s="19" t="s">
        <v>134</v>
      </c>
      <c r="D55" s="34" t="s">
        <v>135</v>
      </c>
      <c r="E55" s="34"/>
      <c r="F55" s="34"/>
      <c r="G55" s="34"/>
      <c r="H55" s="34"/>
      <c r="I55" s="34"/>
      <c r="J55" s="34"/>
      <c r="K55" s="34"/>
      <c r="L55" s="34"/>
      <c r="M55" s="34"/>
      <c r="N55" s="34"/>
    </row>
    <row r="56" spans="2:14" s="17" customFormat="1" ht="12.75">
      <c r="B56" s="18"/>
      <c r="C56" s="19" t="s">
        <v>136</v>
      </c>
      <c r="D56" s="35" t="s">
        <v>137</v>
      </c>
      <c r="E56" s="35"/>
      <c r="F56" s="35"/>
      <c r="G56" s="35"/>
      <c r="H56" s="35"/>
      <c r="I56" s="35"/>
      <c r="J56" s="35"/>
      <c r="K56" s="35"/>
      <c r="L56" s="35"/>
      <c r="M56" s="35"/>
      <c r="N56" s="35"/>
    </row>
    <row r="57" spans="2:14" ht="25.5">
      <c r="B57" s="20">
        <v>22</v>
      </c>
      <c r="C57" s="21" t="s">
        <v>138</v>
      </c>
      <c r="D57" s="22" t="s">
        <v>139</v>
      </c>
      <c r="E57" s="22" t="s">
        <v>104</v>
      </c>
      <c r="F57" s="23">
        <v>14.4</v>
      </c>
      <c r="G57" s="24">
        <v>1</v>
      </c>
      <c r="H57" s="25">
        <f>F57 * G57 * 950.793</f>
        <v>13691.4192</v>
      </c>
      <c r="I57" s="25">
        <f>F57 * G57 * 7.170829</f>
        <v>103.2599376</v>
      </c>
      <c r="J57" s="25">
        <f>F57 * G57 * 0</f>
        <v>0</v>
      </c>
      <c r="K57" s="25">
        <f>F57 * G57 * 905.154935999999</f>
        <v>13034.231078399986</v>
      </c>
      <c r="L57" s="25">
        <f>F57 * G57 * 216.620762</f>
        <v>3119.3389728000002</v>
      </c>
      <c r="M57" s="25">
        <f>F57 * G57 * 190.1586</f>
        <v>2738.2838400000001</v>
      </c>
      <c r="N57" s="26">
        <f>SUM(H57:M57)</f>
        <v>32686.533028799986</v>
      </c>
    </row>
    <row r="58" spans="2:14" ht="25.5">
      <c r="B58" s="20">
        <v>23</v>
      </c>
      <c r="C58" s="21" t="s">
        <v>140</v>
      </c>
      <c r="D58" s="22" t="s">
        <v>141</v>
      </c>
      <c r="E58" s="22" t="s">
        <v>104</v>
      </c>
      <c r="F58" s="23">
        <v>14.4</v>
      </c>
      <c r="G58" s="24">
        <v>1</v>
      </c>
      <c r="H58" s="25">
        <f>F58 * G58 * 400.009997</f>
        <v>5760.1439568000005</v>
      </c>
      <c r="I58" s="25">
        <f>F58 * G58 * 0</f>
        <v>0</v>
      </c>
      <c r="J58" s="25">
        <f>F58 * G58 * 68.046825</f>
        <v>979.87428</v>
      </c>
      <c r="K58" s="25">
        <f>F58 * G58 * 380.809517</f>
        <v>5483.6570448000002</v>
      </c>
      <c r="L58" s="25">
        <f>F58 * G58 * 97.99561</f>
        <v>1411.136784</v>
      </c>
      <c r="M58" s="25">
        <f>F58 * G58 * 80.001999</f>
        <v>1152.0287856</v>
      </c>
      <c r="N58" s="26">
        <f>SUM(H58:M58)</f>
        <v>14786.840851200001</v>
      </c>
    </row>
    <row r="59" spans="2:14" s="17" customFormat="1" ht="12.75">
      <c r="B59" s="18"/>
      <c r="C59" s="19" t="s">
        <v>142</v>
      </c>
      <c r="D59" s="35" t="s">
        <v>143</v>
      </c>
      <c r="E59" s="35"/>
      <c r="F59" s="35"/>
      <c r="G59" s="35"/>
      <c r="H59" s="35"/>
      <c r="I59" s="35"/>
      <c r="J59" s="35"/>
      <c r="K59" s="35"/>
      <c r="L59" s="35"/>
      <c r="M59" s="35"/>
      <c r="N59" s="35"/>
    </row>
    <row r="60" spans="2:14" ht="25.5">
      <c r="B60" s="20">
        <v>24</v>
      </c>
      <c r="C60" s="21" t="s">
        <v>144</v>
      </c>
      <c r="D60" s="22" t="s">
        <v>145</v>
      </c>
      <c r="E60" s="22" t="s">
        <v>146</v>
      </c>
      <c r="F60" s="23">
        <v>43.2</v>
      </c>
      <c r="G60" s="24">
        <v>1</v>
      </c>
      <c r="H60" s="25">
        <f>F60 * G60 * 223.97976</f>
        <v>9675.9256320000004</v>
      </c>
      <c r="I60" s="25">
        <f>F60 * G60 * 0</f>
        <v>0</v>
      </c>
      <c r="J60" s="25">
        <f>F60 * G60 * 0</f>
        <v>0</v>
      </c>
      <c r="K60" s="25">
        <f>F60 * G60 * 213.228732</f>
        <v>9211.4812224000016</v>
      </c>
      <c r="L60" s="25">
        <f>F60 * G60 * 50.8514689999999</f>
        <v>2196.7834607999957</v>
      </c>
      <c r="M60" s="25">
        <f>F60 * G60 * 44.795952</f>
        <v>1935.1851264000002</v>
      </c>
      <c r="N60" s="26">
        <f>SUM(H60:M60)</f>
        <v>23019.375441600001</v>
      </c>
    </row>
    <row r="61" spans="2:14" s="17" customFormat="1" ht="12.75">
      <c r="B61" s="18"/>
      <c r="C61" s="19" t="s">
        <v>147</v>
      </c>
      <c r="D61" s="35" t="s">
        <v>148</v>
      </c>
      <c r="E61" s="35"/>
      <c r="F61" s="35"/>
      <c r="G61" s="35"/>
      <c r="H61" s="35"/>
      <c r="I61" s="35"/>
      <c r="J61" s="35"/>
      <c r="K61" s="35"/>
      <c r="L61" s="35"/>
      <c r="M61" s="35"/>
      <c r="N61" s="35"/>
    </row>
    <row r="62" spans="2:14" s="17" customFormat="1" ht="12.75">
      <c r="B62" s="18"/>
      <c r="C62" s="19" t="s">
        <v>149</v>
      </c>
      <c r="D62" s="36" t="s">
        <v>150</v>
      </c>
      <c r="E62" s="36"/>
      <c r="F62" s="36"/>
      <c r="G62" s="36"/>
      <c r="H62" s="36"/>
      <c r="I62" s="36"/>
      <c r="J62" s="36"/>
      <c r="K62" s="36"/>
      <c r="L62" s="36"/>
      <c r="M62" s="36"/>
      <c r="N62" s="36"/>
    </row>
    <row r="63" spans="2:14" ht="25.5">
      <c r="B63" s="20">
        <v>25</v>
      </c>
      <c r="C63" s="21" t="s">
        <v>151</v>
      </c>
      <c r="D63" s="22" t="s">
        <v>152</v>
      </c>
      <c r="E63" s="22" t="s">
        <v>153</v>
      </c>
      <c r="F63" s="23">
        <v>0.01</v>
      </c>
      <c r="G63" s="24">
        <v>1</v>
      </c>
      <c r="H63" s="25">
        <f>F63 * G63 * 13548.864</f>
        <v>135.48864</v>
      </c>
      <c r="I63" s="25">
        <f>F63 * G63 * 0</f>
        <v>0</v>
      </c>
      <c r="J63" s="25">
        <f>F63 * G63 * 0</f>
        <v>0</v>
      </c>
      <c r="K63" s="25">
        <f>F63 * G63 * 12898.518528</f>
        <v>128.98518528</v>
      </c>
      <c r="L63" s="25">
        <f>F63 * G63 * 3076.079887</f>
        <v>30.760798869999999</v>
      </c>
      <c r="M63" s="25">
        <f>F63 * G63 * 2709.7728</f>
        <v>27.097728000000004</v>
      </c>
      <c r="N63" s="26">
        <f>SUM(H63:M63)</f>
        <v>322.33235215000002</v>
      </c>
    </row>
    <row r="64" spans="2:14" s="14" customFormat="1" ht="15">
      <c r="B64" s="15"/>
      <c r="C64" s="16" t="s">
        <v>154</v>
      </c>
      <c r="D64" s="33" t="s">
        <v>155</v>
      </c>
      <c r="E64" s="33"/>
      <c r="F64" s="33"/>
      <c r="G64" s="33"/>
      <c r="H64" s="33"/>
      <c r="I64" s="33"/>
      <c r="J64" s="33"/>
      <c r="K64" s="33"/>
      <c r="L64" s="33"/>
      <c r="M64" s="33"/>
      <c r="N64" s="33"/>
    </row>
    <row r="65" spans="2:14" s="17" customFormat="1" ht="12.75">
      <c r="B65" s="18"/>
      <c r="C65" s="19" t="s">
        <v>156</v>
      </c>
      <c r="D65" s="34" t="s">
        <v>157</v>
      </c>
      <c r="E65" s="34"/>
      <c r="F65" s="34"/>
      <c r="G65" s="34"/>
      <c r="H65" s="34"/>
      <c r="I65" s="34"/>
      <c r="J65" s="34"/>
      <c r="K65" s="34"/>
      <c r="L65" s="34"/>
      <c r="M65" s="34"/>
      <c r="N65" s="34"/>
    </row>
    <row r="66" spans="2:14">
      <c r="B66" s="20">
        <v>26</v>
      </c>
      <c r="C66" s="21" t="s">
        <v>158</v>
      </c>
      <c r="D66" s="22" t="s">
        <v>159</v>
      </c>
      <c r="E66" s="22" t="s">
        <v>160</v>
      </c>
      <c r="F66" s="23">
        <v>1</v>
      </c>
      <c r="G66" s="24">
        <v>1</v>
      </c>
      <c r="H66" s="25">
        <f>F66 * G66 * 22.79802</f>
        <v>22.798020000000001</v>
      </c>
      <c r="I66" s="25">
        <f>F66 * G66 * 1021.02457</f>
        <v>1021.02457</v>
      </c>
      <c r="J66" s="25">
        <f>F66 * G66 * 0</f>
        <v>0</v>
      </c>
      <c r="K66" s="25">
        <f>F66 * G66 * 21.703715</f>
        <v>21.703714999999999</v>
      </c>
      <c r="L66" s="25">
        <f>F66 * G66 * 112.894064</f>
        <v>112.894064</v>
      </c>
      <c r="M66" s="25">
        <f>F66 * G66 * 4.559604</f>
        <v>4.5596040000000002</v>
      </c>
      <c r="N66" s="26">
        <f>SUM(H66:M66)</f>
        <v>1182.9799730000002</v>
      </c>
    </row>
    <row r="67" spans="2:14" s="14" customFormat="1" ht="15">
      <c r="B67" s="15"/>
      <c r="C67" s="16" t="s">
        <v>161</v>
      </c>
      <c r="D67" s="33" t="s">
        <v>162</v>
      </c>
      <c r="E67" s="33"/>
      <c r="F67" s="33"/>
      <c r="G67" s="33"/>
      <c r="H67" s="33"/>
      <c r="I67" s="33"/>
      <c r="J67" s="33"/>
      <c r="K67" s="33"/>
      <c r="L67" s="33"/>
      <c r="M67" s="33"/>
      <c r="N67" s="33"/>
    </row>
    <row r="68" spans="2:14" s="17" customFormat="1" ht="12.75">
      <c r="B68" s="18"/>
      <c r="C68" s="19" t="s">
        <v>163</v>
      </c>
      <c r="D68" s="34" t="s">
        <v>164</v>
      </c>
      <c r="E68" s="34"/>
      <c r="F68" s="34"/>
      <c r="G68" s="34"/>
      <c r="H68" s="34"/>
      <c r="I68" s="34"/>
      <c r="J68" s="34"/>
      <c r="K68" s="34"/>
      <c r="L68" s="34"/>
      <c r="M68" s="34"/>
      <c r="N68" s="34"/>
    </row>
    <row r="69" spans="2:14">
      <c r="B69" s="20">
        <v>27</v>
      </c>
      <c r="C69" s="21" t="s">
        <v>165</v>
      </c>
      <c r="D69" s="22" t="s">
        <v>166</v>
      </c>
      <c r="E69" s="22" t="s">
        <v>167</v>
      </c>
      <c r="F69" s="23">
        <v>70</v>
      </c>
      <c r="G69" s="24">
        <v>1</v>
      </c>
      <c r="H69" s="25">
        <f>F69 * G69 * 32.568</f>
        <v>2279.7599999999998</v>
      </c>
      <c r="I69" s="25">
        <f>F69 * G69 * 3.7673</f>
        <v>263.71100000000001</v>
      </c>
      <c r="J69" s="25">
        <f>F69 * G69 * 0</f>
        <v>0</v>
      </c>
      <c r="K69" s="25">
        <f>F69 * G69 * 31.004736</f>
        <v>2170.3315200000002</v>
      </c>
      <c r="L69" s="25">
        <f>F69 * G69 * 7.791558</f>
        <v>545.40906000000007</v>
      </c>
      <c r="M69" s="25">
        <f>F69 * G69 * 6.5136</f>
        <v>455.952</v>
      </c>
      <c r="N69" s="26">
        <f>SUM(H69:M69)</f>
        <v>5715.1635799999995</v>
      </c>
    </row>
    <row r="70" spans="2:14" s="27" customFormat="1" ht="20.100000000000001" customHeight="1">
      <c r="B70" s="37" t="s">
        <v>168</v>
      </c>
      <c r="C70" s="37"/>
      <c r="D70" s="37"/>
      <c r="E70" s="37"/>
      <c r="F70" s="37"/>
      <c r="G70" s="37"/>
      <c r="H70" s="28">
        <f t="shared" ref="H70:N70" si="0">SUM(H4:H69)</f>
        <v>97001.485387799999</v>
      </c>
      <c r="I70" s="28">
        <f t="shared" si="0"/>
        <v>29962.507639294996</v>
      </c>
      <c r="J70" s="28">
        <f t="shared" si="0"/>
        <v>1031.1573195000001</v>
      </c>
      <c r="K70" s="28">
        <f t="shared" si="0"/>
        <v>92387.117326809966</v>
      </c>
      <c r="L70" s="28">
        <f t="shared" si="0"/>
        <v>25297.984859704986</v>
      </c>
      <c r="M70" s="28">
        <f t="shared" si="0"/>
        <v>19409.05825305</v>
      </c>
      <c r="N70" s="29">
        <f t="shared" si="0"/>
        <v>265089.31078615994</v>
      </c>
    </row>
  </sheetData>
  <mergeCells count="43">
    <mergeCell ref="D67:N67"/>
    <mergeCell ref="D68:N68"/>
    <mergeCell ref="B70:G70"/>
    <mergeCell ref="D59:N59"/>
    <mergeCell ref="D61:N61"/>
    <mergeCell ref="D62:N62"/>
    <mergeCell ref="D64:N64"/>
    <mergeCell ref="D65:N65"/>
    <mergeCell ref="D50:N50"/>
    <mergeCell ref="D52:N52"/>
    <mergeCell ref="D53:N53"/>
    <mergeCell ref="D55:N55"/>
    <mergeCell ref="D56:N56"/>
    <mergeCell ref="D42:N42"/>
    <mergeCell ref="D43:N43"/>
    <mergeCell ref="D44:N44"/>
    <mergeCell ref="D46:N46"/>
    <mergeCell ref="D48:N48"/>
    <mergeCell ref="D35:N35"/>
    <mergeCell ref="D36:N36"/>
    <mergeCell ref="D38:N38"/>
    <mergeCell ref="D39:N39"/>
    <mergeCell ref="D40:N40"/>
    <mergeCell ref="D25:N25"/>
    <mergeCell ref="D27:N27"/>
    <mergeCell ref="D29:N29"/>
    <mergeCell ref="D30:N30"/>
    <mergeCell ref="D33:N33"/>
    <mergeCell ref="D18:N18"/>
    <mergeCell ref="D19:N19"/>
    <mergeCell ref="D21:N21"/>
    <mergeCell ref="D23:N23"/>
    <mergeCell ref="D24:N24"/>
    <mergeCell ref="D7:N7"/>
    <mergeCell ref="D8:N8"/>
    <mergeCell ref="D9:N9"/>
    <mergeCell ref="D12:N12"/>
    <mergeCell ref="D14:N14"/>
    <mergeCell ref="B2:K3"/>
    <mergeCell ref="L2:M2"/>
    <mergeCell ref="L3:M3"/>
    <mergeCell ref="D4:N4"/>
    <mergeCell ref="D5:N5"/>
  </mergeCells>
  <pageMargins left="0.7" right="0.7" top="0.75" bottom="0.75" header="0.3" footer="0.3"/>
  <pageSetup paperSize="9" scale="61" fitToHeight="0" orientation="landscape" horizontalDpi="4294967295" verticalDpi="4294967295" r:id="rId1"/>
  <headerFooter>
    <oddHeader>&amp;C&amp;KCCCCCC&amp;"Arial"Болдина 114а</oddHeader>
    <oddFooter>Стр.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Смета</vt:lpstr>
      <vt:lpstr>Смета!Заголовки_для_печати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Болдина 114а</dc:title>
  <dc:creator/>
  <cp:lastModifiedBy/>
  <cp:lastPrinted>2022-03-21T12:28:21Z</cp:lastPrinted>
  <dcterms:created xsi:type="dcterms:W3CDTF">2022-03-21T12:28:21Z</dcterms:created>
  <dcterms:modified xsi:type="dcterms:W3CDTF">2022-03-21T12:28:54Z</dcterms:modified>
</cp:coreProperties>
</file>